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 XPS 17\Documents\Web Site\Spreadsheets\"/>
    </mc:Choice>
  </mc:AlternateContent>
  <xr:revisionPtr revIDLastSave="0" documentId="13_ncr:1_{C634D443-6C2D-4F61-8BE8-C2D1F8DCEB79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I29" i="1" s="1"/>
  <c r="I37" i="1"/>
  <c r="I38" i="1" s="1"/>
  <c r="I32" i="1"/>
  <c r="H32" i="1"/>
  <c r="G32" i="1"/>
  <c r="F32" i="1"/>
  <c r="E32" i="1"/>
  <c r="D32" i="1"/>
  <c r="C32" i="1"/>
  <c r="H37" i="1"/>
  <c r="H38" i="1" s="1"/>
  <c r="G37" i="1"/>
  <c r="G38" i="1" s="1"/>
  <c r="F37" i="1"/>
  <c r="F38" i="1" s="1"/>
  <c r="E37" i="1"/>
  <c r="E38" i="1" s="1"/>
  <c r="D37" i="1"/>
  <c r="D38" i="1" s="1"/>
  <c r="C37" i="1"/>
  <c r="C38" i="1" s="1"/>
  <c r="I33" i="1" l="1"/>
  <c r="I34" i="1" s="1"/>
  <c r="H27" i="1"/>
  <c r="H29" i="1" s="1"/>
  <c r="H33" i="1" s="1"/>
  <c r="I40" i="1" l="1"/>
  <c r="H34" i="1"/>
  <c r="H40" i="1"/>
  <c r="G27" i="1"/>
  <c r="G29" i="1" s="1"/>
  <c r="G33" i="1" s="1"/>
  <c r="G34" i="1" l="1"/>
  <c r="G40" i="1"/>
  <c r="C28" i="1"/>
  <c r="C26" i="1"/>
  <c r="C23" i="1"/>
  <c r="C22" i="1"/>
  <c r="C21" i="1"/>
  <c r="C20" i="1"/>
  <c r="C18" i="1"/>
  <c r="C17" i="1"/>
  <c r="C16" i="1"/>
  <c r="C14" i="1"/>
  <c r="C13" i="1"/>
  <c r="C12" i="1"/>
  <c r="C11" i="1"/>
  <c r="C10" i="1"/>
  <c r="C9" i="1"/>
  <c r="C8" i="1"/>
  <c r="C7" i="1"/>
  <c r="C6" i="1"/>
  <c r="C5" i="1"/>
  <c r="F27" i="1" l="1"/>
  <c r="F29" i="1" s="1"/>
  <c r="F33" i="1" s="1"/>
  <c r="H21" i="3"/>
  <c r="G23" i="3"/>
  <c r="G21" i="3"/>
  <c r="C13" i="3"/>
  <c r="C12" i="3"/>
  <c r="C9" i="3"/>
  <c r="C8" i="3"/>
  <c r="C11" i="3"/>
  <c r="C10" i="3"/>
  <c r="C7" i="3"/>
  <c r="C6" i="3"/>
  <c r="C5" i="3"/>
  <c r="C4" i="3"/>
  <c r="C3" i="3"/>
  <c r="C2" i="3"/>
  <c r="D26" i="2"/>
  <c r="D28" i="2" s="1"/>
  <c r="E23" i="2"/>
  <c r="C23" i="2"/>
  <c r="E22" i="2"/>
  <c r="E20" i="2"/>
  <c r="C20" i="2"/>
  <c r="C22" i="2" s="1"/>
  <c r="C24" i="2" s="1"/>
  <c r="C27" i="1"/>
  <c r="D27" i="1" s="1"/>
  <c r="E24" i="2" l="1"/>
  <c r="F34" i="1"/>
  <c r="F40" i="1"/>
  <c r="C29" i="1"/>
  <c r="C33" i="1" s="1"/>
  <c r="D29" i="1"/>
  <c r="D33" i="1" s="1"/>
  <c r="C34" i="1" l="1"/>
  <c r="C40" i="1"/>
  <c r="D34" i="1"/>
  <c r="D40" i="1"/>
  <c r="E27" i="1"/>
  <c r="E29" i="1" l="1"/>
  <c r="E33" i="1" s="1"/>
  <c r="E34" i="1" l="1"/>
  <c r="E40" i="1"/>
  <c r="H2" i="3"/>
  <c r="H23" i="3" s="1"/>
  <c r="H25" i="3" s="1"/>
</calcChain>
</file>

<file path=xl/sharedStrings.xml><?xml version="1.0" encoding="utf-8"?>
<sst xmlns="http://schemas.openxmlformats.org/spreadsheetml/2006/main" count="124" uniqueCount="71">
  <si>
    <t>Ref</t>
  </si>
  <si>
    <t>Monitoring Service</t>
  </si>
  <si>
    <t>Nil</t>
  </si>
  <si>
    <t>Insurance - Engineering</t>
  </si>
  <si>
    <t>Electricity</t>
  </si>
  <si>
    <t>Water</t>
  </si>
  <si>
    <t>Window Cleaning</t>
  </si>
  <si>
    <t xml:space="preserve">Communal Area Cleaning </t>
  </si>
  <si>
    <t>Lift</t>
  </si>
  <si>
    <t>Fire Systems Maintenance</t>
  </si>
  <si>
    <t>General Maintenance</t>
  </si>
  <si>
    <t>Management Fees</t>
  </si>
  <si>
    <t>Accounts Preperation Fee</t>
  </si>
  <si>
    <t>Audit Fees</t>
  </si>
  <si>
    <t>Company Secretarial Fees</t>
  </si>
  <si>
    <t>Health &amp; Safety Costs</t>
  </si>
  <si>
    <t>Contribution to Reserves</t>
  </si>
  <si>
    <t>DSB_FY2021.pdf</t>
  </si>
  <si>
    <t>DSB_FY2022.pdf</t>
  </si>
  <si>
    <t>Directors &amp; Officers Insurance</t>
  </si>
  <si>
    <t>Telephone/internet</t>
  </si>
  <si>
    <t>Out of Hours Emengeny Response</t>
  </si>
  <si>
    <t>VAT</t>
  </si>
  <si>
    <t>Cyclical Maintenance Fund</t>
  </si>
  <si>
    <t xml:space="preserve">Insurance </t>
  </si>
  <si>
    <t>Surplus/(Deficit):</t>
  </si>
  <si>
    <t>FY2020</t>
  </si>
  <si>
    <t>FY2021</t>
  </si>
  <si>
    <t>FY2022</t>
  </si>
  <si>
    <t>Total Expenditure:</t>
  </si>
  <si>
    <t>Service Charge Income:</t>
  </si>
  <si>
    <t>Service Charge Budgets &amp; Expenditures</t>
  </si>
  <si>
    <t>Block Budget Less Insurance:</t>
  </si>
  <si>
    <t>Total Block Budget:</t>
  </si>
  <si>
    <t>Total Budget:</t>
  </si>
  <si>
    <t>Estimated Estate Budget Share:</t>
  </si>
  <si>
    <t>Landscaping/Equipment</t>
  </si>
  <si>
    <t>Plant, Pumps, Tanks</t>
  </si>
  <si>
    <t>SoASCE_FY2021.pdf</t>
  </si>
  <si>
    <t>Description</t>
  </si>
  <si>
    <t>Budget</t>
  </si>
  <si>
    <t>Expenditure</t>
  </si>
  <si>
    <t>Source</t>
  </si>
  <si>
    <t>Apartment</t>
  </si>
  <si>
    <t>SQ FT</t>
  </si>
  <si>
    <t>%SC share</t>
  </si>
  <si>
    <t>INCOME (£):</t>
  </si>
  <si>
    <t>EXPENDITURE (£):</t>
  </si>
  <si>
    <t>Total:</t>
  </si>
  <si>
    <t>SURPLUS/DEFICIT (£):</t>
  </si>
  <si>
    <t>BALANCE (£):</t>
  </si>
  <si>
    <t>FY2023</t>
  </si>
  <si>
    <t>Legal &amp; professional fees</t>
  </si>
  <si>
    <t>FY2024</t>
  </si>
  <si>
    <t>Total Estate Budget:</t>
  </si>
  <si>
    <t>Apartment %Share of Block Budget:</t>
  </si>
  <si>
    <t>Apartment £Share of Block Budget:</t>
  </si>
  <si>
    <t>Apartment %Share of Estate Budget:</t>
  </si>
  <si>
    <t>Budget Item</t>
  </si>
  <si>
    <t>Apartment #</t>
  </si>
  <si>
    <t>Block SC %age Share</t>
  </si>
  <si>
    <t>Apartment £Share of Estate Budget:</t>
  </si>
  <si>
    <t>Estimated Half-Yearly Block SC:</t>
  </si>
  <si>
    <t>Estimated Half-Yearly Estate SC:</t>
  </si>
  <si>
    <t>Enter the appropriate SC %age share below</t>
  </si>
  <si>
    <t>Estimated Total Annual SC:</t>
  </si>
  <si>
    <t>Block SC %age Share:</t>
  </si>
  <si>
    <t>Service Charge Calculator</t>
  </si>
  <si>
    <t>FY2025</t>
  </si>
  <si>
    <t>FY2026</t>
  </si>
  <si>
    <t>Lift Maintenance &amp; Repair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</si>
</sst>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£&quot;#,##0.00;\-&quot;£&quot;#,##0.00"/>
    <numFmt numFmtId="164" formatCode="&quot;£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7" fontId="3" fillId="0" borderId="1" xfId="0" applyNumberFormat="1" applyFont="1" applyBorder="1" applyAlignment="1">
      <alignment horizontal="right"/>
    </xf>
    <xf numFmtId="7" fontId="0" fillId="0" borderId="1" xfId="0" applyNumberFormat="1" applyBorder="1" applyAlignment="1">
      <alignment horizontal="right"/>
    </xf>
    <xf numFmtId="0" fontId="2" fillId="0" borderId="1" xfId="0" applyFont="1" applyBorder="1"/>
    <xf numFmtId="7" fontId="0" fillId="0" borderId="1" xfId="0" applyNumberFormat="1" applyBorder="1"/>
    <xf numFmtId="164" fontId="1" fillId="0" borderId="1" xfId="0" applyNumberFormat="1" applyFont="1" applyBorder="1"/>
    <xf numFmtId="164" fontId="1" fillId="0" borderId="0" xfId="0" applyNumberFormat="1" applyFont="1"/>
    <xf numFmtId="10" fontId="0" fillId="0" borderId="0" xfId="0" applyNumberFormat="1" applyAlignment="1">
      <alignment horizontal="right"/>
    </xf>
    <xf numFmtId="0" fontId="3" fillId="0" borderId="0" xfId="0" applyFont="1" applyAlignment="1">
      <alignment horizontal="right"/>
    </xf>
    <xf numFmtId="164" fontId="0" fillId="0" borderId="1" xfId="0" applyNumberFormat="1" applyBorder="1"/>
    <xf numFmtId="164" fontId="0" fillId="0" borderId="0" xfId="0" applyNumberFormat="1"/>
    <xf numFmtId="7" fontId="0" fillId="0" borderId="0" xfId="0" applyNumberFormat="1" applyAlignment="1">
      <alignment horizontal="right"/>
    </xf>
    <xf numFmtId="7" fontId="0" fillId="0" borderId="0" xfId="0" applyNumberFormat="1" applyAlignment="1">
      <alignment horizontal="right" vertical="center"/>
    </xf>
    <xf numFmtId="7" fontId="0" fillId="0" borderId="0" xfId="0" applyNumberFormat="1"/>
    <xf numFmtId="0" fontId="0" fillId="0" borderId="0" xfId="0" applyAlignment="1">
      <alignment horizontal="right"/>
    </xf>
    <xf numFmtId="7" fontId="3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1" xfId="0" applyFont="1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right"/>
    </xf>
    <xf numFmtId="7" fontId="1" fillId="0" borderId="1" xfId="0" applyNumberFormat="1" applyFont="1" applyBorder="1"/>
    <xf numFmtId="4" fontId="1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0" xfId="0" applyFont="1"/>
    <xf numFmtId="164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7" fontId="7" fillId="0" borderId="1" xfId="0" applyNumberFormat="1" applyFont="1" applyBorder="1"/>
    <xf numFmtId="0" fontId="3" fillId="0" borderId="0" xfId="0" applyFont="1"/>
    <xf numFmtId="7" fontId="7" fillId="0" borderId="1" xfId="0" applyNumberFormat="1" applyFont="1" applyBorder="1" applyAlignment="1">
      <alignment horizontal="right"/>
    </xf>
    <xf numFmtId="7" fontId="7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left"/>
    </xf>
    <xf numFmtId="164" fontId="3" fillId="0" borderId="1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4" fontId="0" fillId="0" borderId="0" xfId="0" applyNumberFormat="1"/>
    <xf numFmtId="4" fontId="0" fillId="0" borderId="0" xfId="0" applyNumberFormat="1" applyAlignment="1">
      <alignment horizontal="right"/>
    </xf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7" fontId="0" fillId="0" borderId="1" xfId="0" applyNumberFormat="1" applyBorder="1" applyAlignment="1">
      <alignment horizontal="right" vertical="center"/>
    </xf>
    <xf numFmtId="4" fontId="0" fillId="0" borderId="1" xfId="0" applyNumberFormat="1" applyBorder="1"/>
    <xf numFmtId="0" fontId="3" fillId="0" borderId="5" xfId="0" applyFont="1" applyBorder="1" applyAlignment="1">
      <alignment horizontal="center"/>
    </xf>
    <xf numFmtId="0" fontId="0" fillId="0" borderId="5" xfId="0" applyBorder="1"/>
    <xf numFmtId="7" fontId="3" fillId="0" borderId="6" xfId="0" applyNumberFormat="1" applyFont="1" applyBorder="1" applyAlignment="1">
      <alignment horizontal="right"/>
    </xf>
    <xf numFmtId="0" fontId="0" fillId="0" borderId="6" xfId="0" applyBorder="1"/>
    <xf numFmtId="0" fontId="0" fillId="0" borderId="5" xfId="0" applyBorder="1" applyAlignment="1">
      <alignment horizontal="center"/>
    </xf>
    <xf numFmtId="0" fontId="0" fillId="0" borderId="7" xfId="0" applyBorder="1"/>
    <xf numFmtId="7" fontId="3" fillId="0" borderId="4" xfId="0" applyNumberFormat="1" applyFont="1" applyBorder="1" applyAlignment="1">
      <alignment horizontal="center"/>
    </xf>
    <xf numFmtId="7" fontId="3" fillId="0" borderId="3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2" xfId="0" applyFont="1" applyBorder="1"/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right"/>
    </xf>
    <xf numFmtId="0" fontId="0" fillId="0" borderId="4" xfId="0" applyBorder="1"/>
    <xf numFmtId="7" fontId="0" fillId="0" borderId="6" xfId="0" applyNumberFormat="1" applyBorder="1"/>
    <xf numFmtId="7" fontId="7" fillId="0" borderId="6" xfId="0" applyNumberFormat="1" applyFont="1" applyBorder="1" applyAlignment="1">
      <alignment horizontal="right"/>
    </xf>
    <xf numFmtId="7" fontId="0" fillId="0" borderId="6" xfId="0" applyNumberFormat="1" applyBorder="1" applyAlignment="1">
      <alignment horizontal="right"/>
    </xf>
    <xf numFmtId="0" fontId="3" fillId="0" borderId="6" xfId="0" applyFont="1" applyBorder="1" applyAlignment="1">
      <alignment horizontal="right"/>
    </xf>
    <xf numFmtId="164" fontId="0" fillId="0" borderId="6" xfId="0" applyNumberFormat="1" applyBorder="1"/>
    <xf numFmtId="164" fontId="3" fillId="0" borderId="6" xfId="0" applyNumberFormat="1" applyFont="1" applyBorder="1" applyAlignment="1">
      <alignment horizontal="right"/>
    </xf>
    <xf numFmtId="7" fontId="5" fillId="0" borderId="4" xfId="0" applyNumberFormat="1" applyFont="1" applyBorder="1" applyAlignment="1">
      <alignment horizontal="left"/>
    </xf>
    <xf numFmtId="0" fontId="0" fillId="0" borderId="14" xfId="0" applyBorder="1"/>
    <xf numFmtId="0" fontId="3" fillId="0" borderId="15" xfId="0" applyFont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0" fillId="0" borderId="8" xfId="0" applyBorder="1"/>
    <xf numFmtId="0" fontId="0" fillId="0" borderId="8" xfId="0" applyBorder="1" applyAlignment="1">
      <alignment horizontal="right"/>
    </xf>
    <xf numFmtId="0" fontId="0" fillId="0" borderId="9" xfId="0" applyBorder="1"/>
    <xf numFmtId="0" fontId="5" fillId="0" borderId="0" xfId="0" applyFont="1"/>
    <xf numFmtId="164" fontId="8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164" fontId="5" fillId="0" borderId="1" xfId="0" applyNumberFormat="1" applyFont="1" applyBorder="1"/>
    <xf numFmtId="164" fontId="5" fillId="0" borderId="6" xfId="0" applyNumberFormat="1" applyFont="1" applyBorder="1"/>
    <xf numFmtId="0" fontId="5" fillId="0" borderId="1" xfId="0" applyFont="1" applyBorder="1"/>
    <xf numFmtId="0" fontId="5" fillId="0" borderId="6" xfId="0" applyFont="1" applyBorder="1"/>
    <xf numFmtId="164" fontId="5" fillId="0" borderId="15" xfId="0" applyNumberFormat="1" applyFont="1" applyBorder="1"/>
    <xf numFmtId="164" fontId="5" fillId="0" borderId="16" xfId="0" applyNumberFormat="1" applyFont="1" applyBorder="1"/>
    <xf numFmtId="164" fontId="3" fillId="2" borderId="1" xfId="0" applyNumberFormat="1" applyFont="1" applyFill="1" applyBorder="1"/>
    <xf numFmtId="164" fontId="3" fillId="2" borderId="6" xfId="0" applyNumberFormat="1" applyFont="1" applyFill="1" applyBorder="1"/>
    <xf numFmtId="7" fontId="3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0"/>
  <sheetViews>
    <sheetView tabSelected="1" zoomScaleNormal="100" workbookViewId="0">
      <selection activeCell="I37" sqref="I37"/>
    </sheetView>
  </sheetViews>
  <sheetFormatPr defaultRowHeight="14.4" x14ac:dyDescent="0.55000000000000004"/>
  <cols>
    <col min="1" max="1" width="8.62890625" customWidth="1"/>
    <col min="2" max="2" width="34.62890625" customWidth="1"/>
    <col min="3" max="4" width="12.578125" customWidth="1"/>
    <col min="5" max="5" width="12.578125" style="19" customWidth="1"/>
    <col min="6" max="9" width="12.578125" customWidth="1"/>
    <col min="10" max="10" width="5.578125" customWidth="1"/>
    <col min="11" max="14" width="20.578125" customWidth="1"/>
  </cols>
  <sheetData>
    <row r="1" spans="1:12" ht="18.600000000000001" thickBot="1" x14ac:dyDescent="0.75">
      <c r="A1" s="57" t="s">
        <v>67</v>
      </c>
      <c r="B1" s="58"/>
      <c r="C1" s="58"/>
      <c r="D1" s="58"/>
      <c r="E1" s="58"/>
      <c r="F1" s="58"/>
      <c r="G1" s="59"/>
      <c r="J1" s="30"/>
    </row>
    <row r="2" spans="1:12" ht="15.6" x14ac:dyDescent="0.6">
      <c r="A2" s="60"/>
      <c r="B2" s="61"/>
      <c r="C2" s="61"/>
      <c r="D2" s="61"/>
      <c r="E2" s="62"/>
      <c r="F2" s="61"/>
      <c r="G2" s="61"/>
      <c r="H2" s="63"/>
      <c r="I2" s="63"/>
      <c r="K2" s="53" t="s">
        <v>59</v>
      </c>
      <c r="L2" s="52" t="s">
        <v>60</v>
      </c>
    </row>
    <row r="3" spans="1:12" ht="15.6" x14ac:dyDescent="0.6">
      <c r="A3" s="46" t="s">
        <v>0</v>
      </c>
      <c r="B3" s="28" t="s">
        <v>58</v>
      </c>
      <c r="C3" s="6" t="s">
        <v>26</v>
      </c>
      <c r="D3" s="6" t="s">
        <v>27</v>
      </c>
      <c r="E3" s="6" t="s">
        <v>28</v>
      </c>
      <c r="F3" s="6" t="s">
        <v>51</v>
      </c>
      <c r="G3" s="6" t="s">
        <v>53</v>
      </c>
      <c r="H3" s="48" t="s">
        <v>68</v>
      </c>
      <c r="I3" s="48" t="s">
        <v>69</v>
      </c>
      <c r="K3" s="50">
        <v>1</v>
      </c>
      <c r="L3" s="54">
        <v>7.1786000000000003</v>
      </c>
    </row>
    <row r="4" spans="1:12" x14ac:dyDescent="0.55000000000000004">
      <c r="A4" s="50">
        <v>1240</v>
      </c>
      <c r="B4" s="2" t="s">
        <v>1</v>
      </c>
      <c r="C4" s="7"/>
      <c r="D4" s="7">
        <v>29</v>
      </c>
      <c r="E4" s="7">
        <v>29</v>
      </c>
      <c r="F4" s="7">
        <v>29</v>
      </c>
      <c r="G4" s="9">
        <v>29</v>
      </c>
      <c r="H4" s="64">
        <v>29</v>
      </c>
      <c r="I4" s="64">
        <v>29</v>
      </c>
      <c r="K4" s="50">
        <v>2</v>
      </c>
      <c r="L4" s="54">
        <v>7.1786000000000003</v>
      </c>
    </row>
    <row r="5" spans="1:12" x14ac:dyDescent="0.55000000000000004">
      <c r="A5" s="50">
        <v>1302</v>
      </c>
      <c r="B5" s="2" t="s">
        <v>3</v>
      </c>
      <c r="C5" s="7">
        <f>800/2</f>
        <v>400</v>
      </c>
      <c r="D5" s="7">
        <v>800</v>
      </c>
      <c r="E5" s="7">
        <v>800</v>
      </c>
      <c r="F5" s="7">
        <v>800</v>
      </c>
      <c r="G5" s="33">
        <v>800</v>
      </c>
      <c r="H5" s="64">
        <v>500</v>
      </c>
      <c r="I5" s="64">
        <v>500</v>
      </c>
      <c r="K5" s="50">
        <v>3</v>
      </c>
      <c r="L5" s="54">
        <v>7.1786000000000003</v>
      </c>
    </row>
    <row r="6" spans="1:12" x14ac:dyDescent="0.55000000000000004">
      <c r="A6" s="50">
        <v>1320</v>
      </c>
      <c r="B6" s="2" t="s">
        <v>4</v>
      </c>
      <c r="C6" s="7">
        <f>6000/2</f>
        <v>3000</v>
      </c>
      <c r="D6" s="7">
        <v>1500</v>
      </c>
      <c r="E6" s="9">
        <v>1500</v>
      </c>
      <c r="F6" s="9">
        <v>2445</v>
      </c>
      <c r="G6" s="9">
        <v>2445</v>
      </c>
      <c r="H6" s="64">
        <v>2690</v>
      </c>
      <c r="I6" s="64">
        <v>2690</v>
      </c>
      <c r="K6" s="50">
        <v>4</v>
      </c>
      <c r="L6" s="54">
        <v>7.1786000000000003</v>
      </c>
    </row>
    <row r="7" spans="1:12" x14ac:dyDescent="0.55000000000000004">
      <c r="A7" s="50">
        <v>1340</v>
      </c>
      <c r="B7" s="2" t="s">
        <v>5</v>
      </c>
      <c r="C7" s="7">
        <f>160/2</f>
        <v>80</v>
      </c>
      <c r="D7" s="7">
        <v>150</v>
      </c>
      <c r="E7" s="7">
        <v>150</v>
      </c>
      <c r="F7" s="7">
        <v>150</v>
      </c>
      <c r="G7" s="7">
        <v>150</v>
      </c>
      <c r="H7" s="64">
        <v>150</v>
      </c>
      <c r="I7" s="64">
        <v>150</v>
      </c>
      <c r="K7" s="50">
        <v>5</v>
      </c>
      <c r="L7" s="54">
        <v>7.5507999999999997</v>
      </c>
    </row>
    <row r="8" spans="1:12" x14ac:dyDescent="0.55000000000000004">
      <c r="A8" s="50">
        <v>1350</v>
      </c>
      <c r="B8" s="2" t="s">
        <v>6</v>
      </c>
      <c r="C8" s="7">
        <f>2000/2</f>
        <v>1000</v>
      </c>
      <c r="D8" s="7">
        <v>500</v>
      </c>
      <c r="E8" s="7">
        <v>800</v>
      </c>
      <c r="F8" s="7">
        <v>480</v>
      </c>
      <c r="G8" s="7">
        <v>480</v>
      </c>
      <c r="H8" s="64">
        <v>809</v>
      </c>
      <c r="I8" s="64">
        <v>821</v>
      </c>
      <c r="K8" s="50">
        <v>6</v>
      </c>
      <c r="L8" s="54">
        <v>7.5507999999999997</v>
      </c>
    </row>
    <row r="9" spans="1:12" x14ac:dyDescent="0.55000000000000004">
      <c r="A9" s="50">
        <v>1436</v>
      </c>
      <c r="B9" s="2" t="s">
        <v>7</v>
      </c>
      <c r="C9" s="7">
        <f>3000/2</f>
        <v>1500</v>
      </c>
      <c r="D9" s="7">
        <v>1448</v>
      </c>
      <c r="E9" s="7">
        <v>1448</v>
      </c>
      <c r="F9" s="7">
        <v>1400</v>
      </c>
      <c r="G9" s="35">
        <v>1500</v>
      </c>
      <c r="H9" s="65">
        <v>1500</v>
      </c>
      <c r="I9" s="65">
        <v>1500</v>
      </c>
      <c r="K9" s="50">
        <v>7</v>
      </c>
      <c r="L9" s="54">
        <v>7.1786000000000003</v>
      </c>
    </row>
    <row r="10" spans="1:12" x14ac:dyDescent="0.55000000000000004">
      <c r="A10" s="50">
        <v>1400</v>
      </c>
      <c r="B10" s="2" t="s">
        <v>70</v>
      </c>
      <c r="C10" s="7">
        <f>1400/2</f>
        <v>700</v>
      </c>
      <c r="D10" s="7">
        <v>1860</v>
      </c>
      <c r="E10" s="7">
        <v>1860</v>
      </c>
      <c r="F10" s="7">
        <v>1500</v>
      </c>
      <c r="G10" s="35">
        <v>1600</v>
      </c>
      <c r="H10" s="65">
        <v>1600</v>
      </c>
      <c r="I10" s="65">
        <v>4000</v>
      </c>
      <c r="K10" s="50">
        <v>8</v>
      </c>
      <c r="L10" s="54">
        <v>7.1786000000000003</v>
      </c>
    </row>
    <row r="11" spans="1:12" x14ac:dyDescent="0.55000000000000004">
      <c r="A11" s="50">
        <v>1420</v>
      </c>
      <c r="B11" s="2" t="s">
        <v>9</v>
      </c>
      <c r="C11" s="7">
        <f>1000/2</f>
        <v>500</v>
      </c>
      <c r="D11" s="7">
        <v>440</v>
      </c>
      <c r="E11" s="7">
        <v>725</v>
      </c>
      <c r="F11" s="7">
        <v>725</v>
      </c>
      <c r="G11" s="7">
        <v>725</v>
      </c>
      <c r="H11" s="64">
        <v>850</v>
      </c>
      <c r="I11" s="64">
        <v>2000</v>
      </c>
      <c r="K11" s="50">
        <v>9</v>
      </c>
      <c r="L11" s="54">
        <v>7.5507999999999997</v>
      </c>
    </row>
    <row r="12" spans="1:12" x14ac:dyDescent="0.55000000000000004">
      <c r="A12" s="50">
        <v>1470</v>
      </c>
      <c r="B12" s="2" t="s">
        <v>10</v>
      </c>
      <c r="C12" s="7">
        <f>2550/2</f>
        <v>1275</v>
      </c>
      <c r="D12" s="7">
        <v>1500</v>
      </c>
      <c r="E12" s="7">
        <v>1500</v>
      </c>
      <c r="F12" s="7">
        <v>2000</v>
      </c>
      <c r="G12" s="7">
        <v>2200</v>
      </c>
      <c r="H12" s="64">
        <v>2500</v>
      </c>
      <c r="I12" s="64">
        <v>2500</v>
      </c>
      <c r="K12" s="50">
        <v>10</v>
      </c>
      <c r="L12" s="54">
        <v>7.5507999999999997</v>
      </c>
    </row>
    <row r="13" spans="1:12" x14ac:dyDescent="0.55000000000000004">
      <c r="A13" s="50">
        <v>1800</v>
      </c>
      <c r="B13" s="2" t="s">
        <v>11</v>
      </c>
      <c r="C13" s="7">
        <f>4995/2</f>
        <v>2497.5</v>
      </c>
      <c r="D13" s="7">
        <v>2160</v>
      </c>
      <c r="E13" s="7">
        <v>2246</v>
      </c>
      <c r="F13" s="7">
        <v>2414</v>
      </c>
      <c r="G13" s="7">
        <v>2619</v>
      </c>
      <c r="H13" s="64">
        <v>2789</v>
      </c>
      <c r="I13" s="64">
        <v>2970</v>
      </c>
      <c r="K13" s="50">
        <v>11</v>
      </c>
      <c r="L13" s="54">
        <v>13.1554</v>
      </c>
    </row>
    <row r="14" spans="1:12" ht="14.7" thickBot="1" x14ac:dyDescent="0.6">
      <c r="A14" s="50">
        <v>1808</v>
      </c>
      <c r="B14" s="2" t="s">
        <v>12</v>
      </c>
      <c r="C14" s="44">
        <f>750/2</f>
        <v>375</v>
      </c>
      <c r="D14" s="7">
        <v>600</v>
      </c>
      <c r="E14" s="7">
        <v>624</v>
      </c>
      <c r="F14" s="7">
        <v>671</v>
      </c>
      <c r="G14" s="7">
        <v>728</v>
      </c>
      <c r="H14" s="64">
        <v>775</v>
      </c>
      <c r="I14" s="64">
        <v>825</v>
      </c>
      <c r="K14" s="55">
        <v>12</v>
      </c>
      <c r="L14" s="56">
        <v>13.5702</v>
      </c>
    </row>
    <row r="15" spans="1:12" x14ac:dyDescent="0.55000000000000004">
      <c r="A15" s="50">
        <v>1812</v>
      </c>
      <c r="B15" s="2" t="s">
        <v>13</v>
      </c>
      <c r="C15" s="44"/>
      <c r="D15" s="7">
        <v>990</v>
      </c>
      <c r="E15" s="7">
        <v>990</v>
      </c>
      <c r="F15" s="7">
        <v>26</v>
      </c>
      <c r="G15" s="7">
        <v>1190</v>
      </c>
      <c r="H15" s="64">
        <v>1309</v>
      </c>
      <c r="I15" s="64">
        <v>533</v>
      </c>
      <c r="L15" s="36"/>
    </row>
    <row r="16" spans="1:12" x14ac:dyDescent="0.55000000000000004">
      <c r="A16" s="50">
        <v>1835</v>
      </c>
      <c r="B16" s="2" t="s">
        <v>14</v>
      </c>
      <c r="C16" s="9">
        <f>250/2</f>
        <v>125</v>
      </c>
      <c r="D16" s="7">
        <v>187</v>
      </c>
      <c r="E16" s="7">
        <v>187</v>
      </c>
      <c r="F16" s="7">
        <v>200</v>
      </c>
      <c r="G16" s="7">
        <v>200</v>
      </c>
      <c r="H16" s="64">
        <v>242</v>
      </c>
      <c r="I16" s="64">
        <v>239</v>
      </c>
      <c r="K16" s="22"/>
      <c r="L16" s="22"/>
    </row>
    <row r="17" spans="1:12" x14ac:dyDescent="0.55000000000000004">
      <c r="A17" s="50">
        <v>1840</v>
      </c>
      <c r="B17" s="2" t="s">
        <v>15</v>
      </c>
      <c r="C17" s="7">
        <f>300/2</f>
        <v>150</v>
      </c>
      <c r="D17" s="7">
        <v>140</v>
      </c>
      <c r="E17" s="7" t="s">
        <v>2</v>
      </c>
      <c r="F17" s="7">
        <v>450</v>
      </c>
      <c r="G17" s="7">
        <v>450</v>
      </c>
      <c r="H17" s="66">
        <v>450</v>
      </c>
      <c r="I17" s="66">
        <v>450</v>
      </c>
    </row>
    <row r="18" spans="1:12" ht="15.9" thickBot="1" x14ac:dyDescent="0.65">
      <c r="A18" s="50">
        <v>1634</v>
      </c>
      <c r="B18" s="2" t="s">
        <v>16</v>
      </c>
      <c r="C18" s="7">
        <f>1000/2</f>
        <v>500</v>
      </c>
      <c r="D18" s="7">
        <v>3000</v>
      </c>
      <c r="E18" s="7">
        <v>4000</v>
      </c>
      <c r="F18" s="7">
        <v>4500</v>
      </c>
      <c r="G18" s="7">
        <v>4500</v>
      </c>
      <c r="H18" s="66">
        <v>4500</v>
      </c>
      <c r="I18" s="66">
        <v>5500</v>
      </c>
      <c r="K18" s="77" t="s">
        <v>64</v>
      </c>
      <c r="L18" s="78"/>
    </row>
    <row r="19" spans="1:12" ht="15.6" x14ac:dyDescent="0.6">
      <c r="A19" s="47"/>
      <c r="B19" s="2" t="s">
        <v>52</v>
      </c>
      <c r="C19" s="2"/>
      <c r="D19" s="3" t="s">
        <v>2</v>
      </c>
      <c r="E19" s="2"/>
      <c r="F19" s="7">
        <v>7</v>
      </c>
      <c r="G19" s="7">
        <v>7</v>
      </c>
      <c r="H19" s="49"/>
      <c r="I19" s="64"/>
      <c r="K19" s="70" t="s">
        <v>66</v>
      </c>
      <c r="L19" s="54">
        <v>13.1554</v>
      </c>
    </row>
    <row r="20" spans="1:12" ht="15.6" x14ac:dyDescent="0.6">
      <c r="A20" s="47"/>
      <c r="B20" s="2" t="s">
        <v>19</v>
      </c>
      <c r="C20" s="7">
        <f>400/2</f>
        <v>200</v>
      </c>
      <c r="D20" s="3" t="s">
        <v>2</v>
      </c>
      <c r="E20" s="2"/>
      <c r="F20" s="2"/>
      <c r="G20" s="2"/>
      <c r="H20" s="67"/>
      <c r="I20" s="67"/>
    </row>
    <row r="21" spans="1:12" ht="15.6" x14ac:dyDescent="0.6">
      <c r="A21" s="47"/>
      <c r="B21" s="2" t="s">
        <v>20</v>
      </c>
      <c r="C21" s="7">
        <f>400/2</f>
        <v>200</v>
      </c>
      <c r="D21" s="3" t="s">
        <v>2</v>
      </c>
      <c r="E21" s="7"/>
      <c r="F21" s="7"/>
      <c r="G21" s="2"/>
      <c r="H21" s="67"/>
      <c r="I21" s="67"/>
    </row>
    <row r="22" spans="1:12" ht="15.6" x14ac:dyDescent="0.6">
      <c r="A22" s="47"/>
      <c r="B22" s="2" t="s">
        <v>21</v>
      </c>
      <c r="C22" s="7">
        <f>240/2</f>
        <v>120</v>
      </c>
      <c r="D22" s="7"/>
      <c r="E22" s="7"/>
      <c r="F22" s="7"/>
      <c r="G22" s="2"/>
      <c r="H22" s="67"/>
      <c r="I22" s="67"/>
      <c r="K22" s="36"/>
    </row>
    <row r="23" spans="1:12" x14ac:dyDescent="0.55000000000000004">
      <c r="A23" s="47"/>
      <c r="B23" s="2" t="s">
        <v>23</v>
      </c>
      <c r="C23" s="7">
        <f>1000/2</f>
        <v>500</v>
      </c>
      <c r="D23" s="32"/>
      <c r="E23" s="2"/>
      <c r="F23" s="2"/>
      <c r="G23" s="2"/>
      <c r="H23" s="49"/>
      <c r="I23" s="49"/>
      <c r="K23" s="36"/>
    </row>
    <row r="24" spans="1:12" x14ac:dyDescent="0.55000000000000004">
      <c r="A24" s="47"/>
      <c r="B24" s="2" t="s">
        <v>36</v>
      </c>
      <c r="C24" s="2"/>
      <c r="D24" s="32"/>
      <c r="E24" s="2"/>
      <c r="F24" s="2"/>
      <c r="G24" s="45"/>
      <c r="H24" s="49"/>
      <c r="I24" s="49"/>
      <c r="K24" s="36"/>
    </row>
    <row r="25" spans="1:12" x14ac:dyDescent="0.55000000000000004">
      <c r="A25" s="47"/>
      <c r="B25" s="2" t="s">
        <v>37</v>
      </c>
      <c r="C25" s="2"/>
      <c r="D25" s="32"/>
      <c r="E25" s="2"/>
      <c r="F25" s="2"/>
      <c r="G25" s="2"/>
      <c r="H25" s="49"/>
      <c r="I25" s="49"/>
      <c r="K25" s="37"/>
    </row>
    <row r="26" spans="1:12" x14ac:dyDescent="0.55000000000000004">
      <c r="A26" s="47"/>
      <c r="B26" s="2" t="s">
        <v>22</v>
      </c>
      <c r="C26" s="7">
        <f>1247/2</f>
        <v>623.5</v>
      </c>
      <c r="D26" s="7"/>
      <c r="E26" s="7"/>
      <c r="F26" s="7"/>
      <c r="G26" s="45"/>
      <c r="H26" s="49"/>
      <c r="I26" s="49"/>
      <c r="K26" s="36"/>
    </row>
    <row r="27" spans="1:12" ht="15.6" x14ac:dyDescent="0.6">
      <c r="A27" s="50"/>
      <c r="B27" s="1" t="s">
        <v>32</v>
      </c>
      <c r="C27" s="10">
        <f t="shared" ref="C27:H27" si="0">SUM(C4:C26)</f>
        <v>13746</v>
      </c>
      <c r="D27" s="3">
        <f t="shared" si="0"/>
        <v>15304</v>
      </c>
      <c r="E27" s="14">
        <f t="shared" si="0"/>
        <v>16859</v>
      </c>
      <c r="F27" s="14">
        <f t="shared" si="0"/>
        <v>17797</v>
      </c>
      <c r="G27" s="14">
        <f t="shared" si="0"/>
        <v>19623</v>
      </c>
      <c r="H27" s="68">
        <f t="shared" si="0"/>
        <v>20693</v>
      </c>
      <c r="I27" s="68">
        <f t="shared" ref="I27" si="1">SUM(I4:I26)</f>
        <v>24707</v>
      </c>
      <c r="K27" s="36"/>
    </row>
    <row r="28" spans="1:12" x14ac:dyDescent="0.55000000000000004">
      <c r="A28" s="50">
        <v>1300</v>
      </c>
      <c r="B28" s="2" t="s">
        <v>24</v>
      </c>
      <c r="C28" s="7">
        <f>5500/2</f>
        <v>2750</v>
      </c>
      <c r="D28" s="7">
        <v>2200</v>
      </c>
      <c r="E28" s="7">
        <v>2670</v>
      </c>
      <c r="F28" s="7">
        <v>3150</v>
      </c>
      <c r="G28" s="7">
        <v>3150</v>
      </c>
      <c r="H28" s="66">
        <v>3150</v>
      </c>
      <c r="I28" s="66">
        <v>2627</v>
      </c>
    </row>
    <row r="29" spans="1:12" ht="15.6" x14ac:dyDescent="0.6">
      <c r="A29" s="47"/>
      <c r="B29" s="1" t="s">
        <v>33</v>
      </c>
      <c r="C29" s="10">
        <f t="shared" ref="C29:H29" si="2">SUM(C27:C28)</f>
        <v>16496</v>
      </c>
      <c r="D29" s="3">
        <f t="shared" si="2"/>
        <v>17504</v>
      </c>
      <c r="E29" s="14">
        <f t="shared" si="2"/>
        <v>19529</v>
      </c>
      <c r="F29" s="14">
        <f t="shared" si="2"/>
        <v>20947</v>
      </c>
      <c r="G29" s="14">
        <f t="shared" si="2"/>
        <v>22773</v>
      </c>
      <c r="H29" s="68">
        <f t="shared" si="2"/>
        <v>23843</v>
      </c>
      <c r="I29" s="68">
        <f t="shared" ref="I29" si="3">SUM(I27:I28)</f>
        <v>27334</v>
      </c>
    </row>
    <row r="30" spans="1:12" ht="15.6" x14ac:dyDescent="0.6">
      <c r="A30" s="47"/>
      <c r="B30" s="1" t="s">
        <v>54</v>
      </c>
      <c r="C30" s="38">
        <v>278054</v>
      </c>
      <c r="D30" s="38">
        <v>206154</v>
      </c>
      <c r="E30" s="38">
        <v>218695</v>
      </c>
      <c r="F30" s="38">
        <v>224000</v>
      </c>
      <c r="G30" s="38">
        <v>237208</v>
      </c>
      <c r="H30" s="69">
        <v>246842</v>
      </c>
      <c r="I30" s="69">
        <v>271574</v>
      </c>
    </row>
    <row r="31" spans="1:12" x14ac:dyDescent="0.55000000000000004">
      <c r="A31" s="47"/>
      <c r="B31" s="2"/>
      <c r="C31" s="2"/>
      <c r="D31" s="32"/>
      <c r="E31" s="2"/>
      <c r="F31" s="2"/>
      <c r="G31" s="2"/>
      <c r="H31" s="49"/>
      <c r="I31" s="49"/>
    </row>
    <row r="32" spans="1:12" ht="15.6" x14ac:dyDescent="0.6">
      <c r="A32" s="47"/>
      <c r="B32" s="1" t="s">
        <v>55</v>
      </c>
      <c r="C32" s="79">
        <f t="shared" ref="C32:I32" si="4">$L$19</f>
        <v>13.1554</v>
      </c>
      <c r="D32" s="79">
        <f t="shared" si="4"/>
        <v>13.1554</v>
      </c>
      <c r="E32" s="79">
        <f t="shared" si="4"/>
        <v>13.1554</v>
      </c>
      <c r="F32" s="79">
        <f t="shared" si="4"/>
        <v>13.1554</v>
      </c>
      <c r="G32" s="79">
        <f t="shared" si="4"/>
        <v>13.1554</v>
      </c>
      <c r="H32" s="80">
        <f t="shared" si="4"/>
        <v>13.1554</v>
      </c>
      <c r="I32" s="80">
        <f t="shared" si="4"/>
        <v>13.1554</v>
      </c>
    </row>
    <row r="33" spans="1:9" ht="15.6" x14ac:dyDescent="0.6">
      <c r="A33" s="47"/>
      <c r="B33" s="1" t="s">
        <v>56</v>
      </c>
      <c r="C33" s="81">
        <f t="shared" ref="C33:H33" si="5">C29*(C32/100)</f>
        <v>2170.1147839999999</v>
      </c>
      <c r="D33" s="81">
        <f t="shared" si="5"/>
        <v>2302.7212159999999</v>
      </c>
      <c r="E33" s="81">
        <f t="shared" si="5"/>
        <v>2569.118066</v>
      </c>
      <c r="F33" s="81">
        <f t="shared" si="5"/>
        <v>2755.661638</v>
      </c>
      <c r="G33" s="81">
        <f t="shared" si="5"/>
        <v>2995.879242</v>
      </c>
      <c r="H33" s="82">
        <f t="shared" si="5"/>
        <v>3136.642022</v>
      </c>
      <c r="I33" s="82">
        <f t="shared" ref="I33" si="6">I29*(I32/100)</f>
        <v>3595.8970360000003</v>
      </c>
    </row>
    <row r="34" spans="1:9" ht="15.6" x14ac:dyDescent="0.6">
      <c r="A34" s="47"/>
      <c r="B34" s="1" t="s">
        <v>62</v>
      </c>
      <c r="C34" s="81">
        <f t="shared" ref="C34:H34" si="7">C33/2</f>
        <v>1085.0573919999999</v>
      </c>
      <c r="D34" s="81">
        <f t="shared" si="7"/>
        <v>1151.360608</v>
      </c>
      <c r="E34" s="81">
        <f t="shared" si="7"/>
        <v>1284.559033</v>
      </c>
      <c r="F34" s="81">
        <f t="shared" si="7"/>
        <v>1377.830819</v>
      </c>
      <c r="G34" s="81">
        <f t="shared" si="7"/>
        <v>1497.939621</v>
      </c>
      <c r="H34" s="82">
        <f t="shared" si="7"/>
        <v>1568.321011</v>
      </c>
      <c r="I34" s="82">
        <f t="shared" ref="I34" si="8">I33/2</f>
        <v>1797.9485180000001</v>
      </c>
    </row>
    <row r="35" spans="1:9" ht="15.6" x14ac:dyDescent="0.6">
      <c r="A35" s="47"/>
      <c r="B35" s="2"/>
      <c r="C35" s="83"/>
      <c r="D35" s="79"/>
      <c r="E35" s="79"/>
      <c r="F35" s="79"/>
      <c r="G35" s="79"/>
      <c r="H35" s="80"/>
      <c r="I35" s="80"/>
    </row>
    <row r="36" spans="1:9" ht="15.6" x14ac:dyDescent="0.6">
      <c r="A36" s="47"/>
      <c r="B36" s="1" t="s">
        <v>57</v>
      </c>
      <c r="C36" s="83">
        <v>0.1656</v>
      </c>
      <c r="D36" s="83">
        <v>0.1656</v>
      </c>
      <c r="E36" s="83">
        <v>0.19919999999999999</v>
      </c>
      <c r="F36" s="83">
        <v>0.19919999999999999</v>
      </c>
      <c r="G36" s="83">
        <v>0.19919999999999999</v>
      </c>
      <c r="H36" s="84">
        <v>0.19919999999999999</v>
      </c>
      <c r="I36" s="84">
        <v>0.1656</v>
      </c>
    </row>
    <row r="37" spans="1:9" ht="15.6" x14ac:dyDescent="0.6">
      <c r="A37" s="47"/>
      <c r="B37" s="1" t="s">
        <v>61</v>
      </c>
      <c r="C37" s="81">
        <f t="shared" ref="C37:H37" si="9">C30*(C36/100)</f>
        <v>460.457424</v>
      </c>
      <c r="D37" s="81">
        <f t="shared" si="9"/>
        <v>341.39102399999996</v>
      </c>
      <c r="E37" s="81">
        <f t="shared" si="9"/>
        <v>435.64043999999996</v>
      </c>
      <c r="F37" s="81">
        <f t="shared" si="9"/>
        <v>446.20799999999997</v>
      </c>
      <c r="G37" s="81">
        <f t="shared" si="9"/>
        <v>472.51833599999998</v>
      </c>
      <c r="H37" s="82">
        <f t="shared" si="9"/>
        <v>491.70926399999996</v>
      </c>
      <c r="I37" s="82">
        <f t="shared" ref="I37" si="10">I30*(I36/100)</f>
        <v>449.72654399999999</v>
      </c>
    </row>
    <row r="38" spans="1:9" ht="15.6" x14ac:dyDescent="0.6">
      <c r="A38" s="71"/>
      <c r="B38" s="72" t="s">
        <v>63</v>
      </c>
      <c r="C38" s="85">
        <f t="shared" ref="C38:H38" si="11">C37/2</f>
        <v>230.228712</v>
      </c>
      <c r="D38" s="85">
        <f t="shared" si="11"/>
        <v>170.69551199999998</v>
      </c>
      <c r="E38" s="85">
        <f t="shared" si="11"/>
        <v>217.82021999999998</v>
      </c>
      <c r="F38" s="85">
        <f t="shared" si="11"/>
        <v>223.10399999999998</v>
      </c>
      <c r="G38" s="85">
        <f t="shared" si="11"/>
        <v>236.25916799999999</v>
      </c>
      <c r="H38" s="86">
        <f t="shared" si="11"/>
        <v>245.85463199999998</v>
      </c>
      <c r="I38" s="86">
        <f t="shared" ref="I38" si="12">I37/2</f>
        <v>224.86327199999999</v>
      </c>
    </row>
    <row r="39" spans="1:9" ht="15.6" x14ac:dyDescent="0.6">
      <c r="A39" s="47"/>
      <c r="B39" s="2"/>
      <c r="C39" s="83"/>
      <c r="D39" s="83"/>
      <c r="E39" s="79"/>
      <c r="F39" s="83"/>
      <c r="G39" s="83"/>
      <c r="H39" s="84"/>
      <c r="I39" s="84"/>
    </row>
    <row r="40" spans="1:9" ht="15.6" x14ac:dyDescent="0.6">
      <c r="A40" s="47"/>
      <c r="B40" s="73" t="s">
        <v>65</v>
      </c>
      <c r="C40" s="87">
        <f>C33+C37</f>
        <v>2630.572208</v>
      </c>
      <c r="D40" s="87">
        <f t="shared" ref="D40:H40" si="13">D33+D37</f>
        <v>2644.1122399999999</v>
      </c>
      <c r="E40" s="87">
        <f t="shared" si="13"/>
        <v>3004.7585060000001</v>
      </c>
      <c r="F40" s="87">
        <f t="shared" si="13"/>
        <v>3201.8696380000001</v>
      </c>
      <c r="G40" s="87">
        <f t="shared" si="13"/>
        <v>3468.3975780000001</v>
      </c>
      <c r="H40" s="88">
        <f t="shared" si="13"/>
        <v>3628.3512860000001</v>
      </c>
      <c r="I40" s="88">
        <f t="shared" ref="I40" si="14">I33+I37</f>
        <v>4045.6235800000004</v>
      </c>
    </row>
    <row r="41" spans="1:9" ht="14.7" thickBot="1" x14ac:dyDescent="0.6">
      <c r="A41" s="51"/>
      <c r="B41" s="74"/>
      <c r="C41" s="74"/>
      <c r="D41" s="74"/>
      <c r="E41" s="75"/>
      <c r="F41" s="74"/>
      <c r="G41" s="74"/>
      <c r="H41" s="76"/>
      <c r="I41" s="76"/>
    </row>
    <row r="43" spans="1:9" x14ac:dyDescent="0.55000000000000004">
      <c r="E43" s="31"/>
    </row>
    <row r="45" spans="1:9" ht="15.6" x14ac:dyDescent="0.6">
      <c r="D45" s="12"/>
      <c r="E45" s="12"/>
      <c r="H45" s="34"/>
      <c r="I45" s="34"/>
    </row>
    <row r="46" spans="1:9" ht="15.6" x14ac:dyDescent="0.6">
      <c r="D46" s="15"/>
      <c r="E46" s="31"/>
      <c r="H46" s="34"/>
      <c r="I46" s="34"/>
    </row>
    <row r="47" spans="1:9" ht="15.6" x14ac:dyDescent="0.6">
      <c r="B47" s="13"/>
      <c r="C47" s="15"/>
      <c r="D47" s="15"/>
      <c r="E47" s="31"/>
      <c r="F47" s="15"/>
      <c r="G47" s="15"/>
      <c r="H47" s="15"/>
      <c r="I47" s="15"/>
    </row>
    <row r="48" spans="1:9" ht="15.6" x14ac:dyDescent="0.6">
      <c r="B48" s="13"/>
      <c r="C48" s="11"/>
      <c r="D48" s="11"/>
      <c r="E48" s="39"/>
      <c r="F48" s="11"/>
      <c r="G48" s="11"/>
      <c r="H48" s="11"/>
      <c r="I48" s="11"/>
    </row>
    <row r="50" spans="2:9" ht="15.6" x14ac:dyDescent="0.6">
      <c r="B50" s="13"/>
    </row>
    <row r="51" spans="2:9" ht="15.6" x14ac:dyDescent="0.6">
      <c r="B51" s="13"/>
      <c r="C51" s="19"/>
      <c r="D51" s="19"/>
    </row>
    <row r="52" spans="2:9" ht="15.6" x14ac:dyDescent="0.6">
      <c r="B52" s="13"/>
      <c r="C52" s="15"/>
      <c r="D52" s="15"/>
      <c r="E52" s="31"/>
      <c r="F52" s="15"/>
      <c r="G52" s="15"/>
      <c r="H52" s="15"/>
      <c r="I52" s="15"/>
    </row>
    <row r="53" spans="2:9" ht="15.6" x14ac:dyDescent="0.6">
      <c r="B53" s="13"/>
      <c r="C53" s="40"/>
      <c r="D53" s="40"/>
      <c r="E53" s="41"/>
      <c r="F53" s="40"/>
      <c r="G53" s="40"/>
      <c r="H53" s="40"/>
      <c r="I53" s="40"/>
    </row>
    <row r="54" spans="2:9" ht="15.6" x14ac:dyDescent="0.6">
      <c r="B54" s="13"/>
      <c r="C54" s="42"/>
      <c r="D54" s="42"/>
      <c r="E54" s="43"/>
      <c r="F54" s="42"/>
      <c r="G54" s="42"/>
      <c r="H54" s="42"/>
      <c r="I54" s="42"/>
    </row>
    <row r="55" spans="2:9" ht="15.6" x14ac:dyDescent="0.6">
      <c r="B55" s="13"/>
      <c r="C55" s="15"/>
      <c r="D55" s="15"/>
      <c r="E55" s="31"/>
      <c r="F55" s="15"/>
      <c r="G55" s="15"/>
      <c r="H55" s="15"/>
      <c r="I55" s="15"/>
    </row>
    <row r="56" spans="2:9" ht="15.6" x14ac:dyDescent="0.6">
      <c r="B56" s="13"/>
      <c r="C56" s="15"/>
      <c r="D56" s="15"/>
      <c r="E56" s="31"/>
      <c r="F56" s="15"/>
      <c r="G56" s="15"/>
      <c r="H56" s="15"/>
      <c r="I56" s="15"/>
    </row>
    <row r="57" spans="2:9" x14ac:dyDescent="0.55000000000000004">
      <c r="C57" s="17"/>
    </row>
    <row r="58" spans="2:9" x14ac:dyDescent="0.55000000000000004">
      <c r="C58" s="17"/>
    </row>
    <row r="59" spans="2:9" x14ac:dyDescent="0.55000000000000004">
      <c r="C59" s="18"/>
    </row>
    <row r="60" spans="2:9" x14ac:dyDescent="0.55000000000000004">
      <c r="C60" s="16"/>
    </row>
    <row r="61" spans="2:9" x14ac:dyDescent="0.55000000000000004">
      <c r="C61" s="16"/>
    </row>
    <row r="62" spans="2:9" x14ac:dyDescent="0.55000000000000004">
      <c r="C62" s="16"/>
    </row>
    <row r="63" spans="2:9" x14ac:dyDescent="0.55000000000000004">
      <c r="C63" s="16"/>
    </row>
    <row r="64" spans="2:9" x14ac:dyDescent="0.55000000000000004">
      <c r="C64" s="16"/>
    </row>
    <row r="65" spans="2:3" x14ac:dyDescent="0.55000000000000004">
      <c r="C65" s="16"/>
    </row>
    <row r="68" spans="2:3" x14ac:dyDescent="0.55000000000000004">
      <c r="C68" s="16"/>
    </row>
    <row r="69" spans="2:3" ht="15.6" x14ac:dyDescent="0.6">
      <c r="B69" s="13"/>
      <c r="C69" s="11"/>
    </row>
    <row r="70" spans="2:3" x14ac:dyDescent="0.55000000000000004">
      <c r="C70" s="16"/>
    </row>
  </sheetData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"/>
  <sheetViews>
    <sheetView workbookViewId="0">
      <selection activeCell="D27" sqref="D27"/>
    </sheetView>
  </sheetViews>
  <sheetFormatPr defaultRowHeight="14.4" x14ac:dyDescent="0.55000000000000004"/>
  <cols>
    <col min="1" max="1" width="8.62890625" customWidth="1"/>
    <col min="2" max="2" width="32.62890625" customWidth="1"/>
    <col min="3" max="6" width="20.62890625" customWidth="1"/>
  </cols>
  <sheetData>
    <row r="1" spans="1:6" ht="18.3" x14ac:dyDescent="0.7">
      <c r="A1" s="8" t="s">
        <v>31</v>
      </c>
      <c r="B1" s="8"/>
      <c r="C1" s="2"/>
      <c r="D1" s="2"/>
      <c r="E1" s="8"/>
    </row>
    <row r="2" spans="1:6" ht="15.6" x14ac:dyDescent="0.6">
      <c r="A2" s="2"/>
      <c r="B2" s="2"/>
      <c r="C2" s="89" t="s">
        <v>27</v>
      </c>
      <c r="D2" s="89"/>
      <c r="E2" s="6" t="s">
        <v>28</v>
      </c>
      <c r="F2" s="20"/>
    </row>
    <row r="3" spans="1:6" ht="15.6" x14ac:dyDescent="0.6">
      <c r="A3" s="4" t="s">
        <v>0</v>
      </c>
      <c r="B3" s="1" t="s">
        <v>39</v>
      </c>
      <c r="C3" s="6" t="s">
        <v>40</v>
      </c>
      <c r="D3" s="1" t="s">
        <v>41</v>
      </c>
      <c r="E3" s="6" t="s">
        <v>40</v>
      </c>
    </row>
    <row r="4" spans="1:6" ht="15.6" x14ac:dyDescent="0.6">
      <c r="B4" s="1" t="s">
        <v>42</v>
      </c>
      <c r="C4" s="6" t="s">
        <v>17</v>
      </c>
      <c r="D4" s="6" t="s">
        <v>38</v>
      </c>
      <c r="E4" s="6" t="s">
        <v>18</v>
      </c>
    </row>
    <row r="5" spans="1:6" x14ac:dyDescent="0.55000000000000004">
      <c r="A5" s="5">
        <v>1240</v>
      </c>
      <c r="B5" s="2" t="s">
        <v>1</v>
      </c>
      <c r="C5" s="7">
        <v>29</v>
      </c>
      <c r="D5" s="3" t="s">
        <v>2</v>
      </c>
      <c r="E5" s="7">
        <v>29</v>
      </c>
    </row>
    <row r="6" spans="1:6" x14ac:dyDescent="0.55000000000000004">
      <c r="A6" s="5">
        <v>1302</v>
      </c>
      <c r="B6" s="2" t="s">
        <v>3</v>
      </c>
      <c r="C6" s="7">
        <v>800</v>
      </c>
      <c r="D6" s="3" t="s">
        <v>2</v>
      </c>
      <c r="E6" s="7">
        <v>800</v>
      </c>
    </row>
    <row r="7" spans="1:6" x14ac:dyDescent="0.55000000000000004">
      <c r="A7" s="5">
        <v>1320</v>
      </c>
      <c r="B7" s="2" t="s">
        <v>4</v>
      </c>
      <c r="C7" s="7">
        <v>1500</v>
      </c>
      <c r="D7" s="3">
        <v>93.89</v>
      </c>
      <c r="E7" s="9">
        <v>1500</v>
      </c>
    </row>
    <row r="8" spans="1:6" x14ac:dyDescent="0.55000000000000004">
      <c r="A8" s="5">
        <v>1340</v>
      </c>
      <c r="B8" s="2" t="s">
        <v>5</v>
      </c>
      <c r="C8" s="7">
        <v>150</v>
      </c>
      <c r="D8" s="3" t="s">
        <v>2</v>
      </c>
      <c r="E8" s="7">
        <v>150</v>
      </c>
    </row>
    <row r="9" spans="1:6" x14ac:dyDescent="0.55000000000000004">
      <c r="A9" s="5">
        <v>1350</v>
      </c>
      <c r="B9" s="2" t="s">
        <v>6</v>
      </c>
      <c r="C9" s="7">
        <v>500</v>
      </c>
      <c r="D9" s="3">
        <v>324</v>
      </c>
      <c r="E9" s="7">
        <v>800</v>
      </c>
    </row>
    <row r="10" spans="1:6" x14ac:dyDescent="0.55000000000000004">
      <c r="A10" s="5">
        <v>1436</v>
      </c>
      <c r="B10" s="2" t="s">
        <v>7</v>
      </c>
      <c r="C10" s="7">
        <v>1448</v>
      </c>
      <c r="D10" s="3">
        <v>1368</v>
      </c>
      <c r="E10" s="7">
        <v>1448</v>
      </c>
    </row>
    <row r="11" spans="1:6" x14ac:dyDescent="0.55000000000000004">
      <c r="A11" s="5">
        <v>1400</v>
      </c>
      <c r="B11" s="2" t="s">
        <v>8</v>
      </c>
      <c r="C11" s="7">
        <v>1860</v>
      </c>
      <c r="D11" s="3">
        <v>1971</v>
      </c>
      <c r="E11" s="7">
        <v>1860</v>
      </c>
    </row>
    <row r="12" spans="1:6" x14ac:dyDescent="0.55000000000000004">
      <c r="A12" s="5">
        <v>1420</v>
      </c>
      <c r="B12" s="2" t="s">
        <v>9</v>
      </c>
      <c r="C12" s="7">
        <v>440</v>
      </c>
      <c r="D12" s="3">
        <v>1836.14</v>
      </c>
      <c r="E12" s="7">
        <v>725</v>
      </c>
    </row>
    <row r="13" spans="1:6" x14ac:dyDescent="0.55000000000000004">
      <c r="A13" s="5">
        <v>1470</v>
      </c>
      <c r="B13" s="2" t="s">
        <v>10</v>
      </c>
      <c r="C13" s="7">
        <v>1500</v>
      </c>
      <c r="D13" s="3">
        <v>2584.39</v>
      </c>
      <c r="E13" s="7">
        <v>1500</v>
      </c>
    </row>
    <row r="14" spans="1:6" x14ac:dyDescent="0.55000000000000004">
      <c r="A14" s="5">
        <v>1800</v>
      </c>
      <c r="B14" s="2" t="s">
        <v>11</v>
      </c>
      <c r="C14" s="7">
        <v>2160</v>
      </c>
      <c r="D14" s="3">
        <v>2997</v>
      </c>
      <c r="E14" s="7">
        <v>2246</v>
      </c>
    </row>
    <row r="15" spans="1:6" x14ac:dyDescent="0.55000000000000004">
      <c r="A15" s="5">
        <v>1808</v>
      </c>
      <c r="B15" s="2" t="s">
        <v>12</v>
      </c>
      <c r="C15" s="7">
        <v>600</v>
      </c>
      <c r="D15" s="3">
        <v>450</v>
      </c>
      <c r="E15" s="7">
        <v>624</v>
      </c>
    </row>
    <row r="16" spans="1:6" x14ac:dyDescent="0.55000000000000004">
      <c r="A16" s="5">
        <v>1812</v>
      </c>
      <c r="B16" s="2" t="s">
        <v>13</v>
      </c>
      <c r="C16" s="7">
        <v>990</v>
      </c>
      <c r="D16" s="3" t="s">
        <v>2</v>
      </c>
      <c r="E16" s="7">
        <v>990</v>
      </c>
    </row>
    <row r="17" spans="1:5" x14ac:dyDescent="0.55000000000000004">
      <c r="A17" s="5">
        <v>1835</v>
      </c>
      <c r="B17" s="2" t="s">
        <v>14</v>
      </c>
      <c r="C17" s="7">
        <v>187</v>
      </c>
      <c r="D17" s="3" t="s">
        <v>2</v>
      </c>
      <c r="E17" s="7">
        <v>187</v>
      </c>
    </row>
    <row r="18" spans="1:5" x14ac:dyDescent="0.55000000000000004">
      <c r="A18" s="5">
        <v>1840</v>
      </c>
      <c r="B18" s="2" t="s">
        <v>15</v>
      </c>
      <c r="C18" s="7">
        <v>140</v>
      </c>
      <c r="D18" s="3">
        <v>244.8</v>
      </c>
      <c r="E18" s="7" t="s">
        <v>2</v>
      </c>
    </row>
    <row r="19" spans="1:5" x14ac:dyDescent="0.55000000000000004">
      <c r="A19" s="5">
        <v>1634</v>
      </c>
      <c r="B19" s="2" t="s">
        <v>16</v>
      </c>
      <c r="C19" s="7">
        <v>3000</v>
      </c>
      <c r="D19" s="3">
        <v>1000</v>
      </c>
      <c r="E19" s="7">
        <v>4000</v>
      </c>
    </row>
    <row r="20" spans="1:5" ht="15.6" x14ac:dyDescent="0.6">
      <c r="A20" s="5"/>
      <c r="B20" s="1" t="s">
        <v>32</v>
      </c>
      <c r="C20" s="14">
        <f>SUM(C5:C19)</f>
        <v>15304</v>
      </c>
      <c r="D20" s="2"/>
      <c r="E20" s="14">
        <f>SUM(E5:E19)</f>
        <v>16859</v>
      </c>
    </row>
    <row r="21" spans="1:5" x14ac:dyDescent="0.55000000000000004">
      <c r="A21" s="5">
        <v>1300</v>
      </c>
      <c r="B21" s="2" t="s">
        <v>24</v>
      </c>
      <c r="C21" s="7">
        <v>2200</v>
      </c>
      <c r="D21" s="2"/>
      <c r="E21" s="7">
        <v>2670</v>
      </c>
    </row>
    <row r="22" spans="1:5" ht="15.6" x14ac:dyDescent="0.6">
      <c r="A22" s="2"/>
      <c r="B22" s="1" t="s">
        <v>33</v>
      </c>
      <c r="C22" s="14">
        <f>SUM(C20:C21)</f>
        <v>17504</v>
      </c>
      <c r="D22" s="2"/>
      <c r="E22" s="14">
        <f>SUM(E20:E21)</f>
        <v>19529</v>
      </c>
    </row>
    <row r="23" spans="1:5" ht="15.6" x14ac:dyDescent="0.6">
      <c r="A23" s="2"/>
      <c r="B23" s="1" t="s">
        <v>35</v>
      </c>
      <c r="C23" s="14">
        <f>(206154*(0.1656/100)-0.08)*12</f>
        <v>4095.7322879999997</v>
      </c>
      <c r="D23" s="2"/>
      <c r="E23" s="14">
        <f>(218695*(0.1992/100))*12</f>
        <v>5227.6852799999997</v>
      </c>
    </row>
    <row r="24" spans="1:5" ht="15.6" x14ac:dyDescent="0.6">
      <c r="A24" s="2"/>
      <c r="B24" s="1" t="s">
        <v>34</v>
      </c>
      <c r="C24" s="14">
        <f>SUM(C22:C23)</f>
        <v>21599.732287999999</v>
      </c>
      <c r="D24" s="2"/>
      <c r="E24" s="14">
        <f>SUM(E22:E23)</f>
        <v>24756.685279999998</v>
      </c>
    </row>
    <row r="25" spans="1:5" x14ac:dyDescent="0.55000000000000004">
      <c r="A25" s="2"/>
      <c r="B25" s="2"/>
      <c r="C25" s="2"/>
      <c r="D25" s="2"/>
      <c r="E25" s="2"/>
    </row>
    <row r="26" spans="1:5" ht="15.6" x14ac:dyDescent="0.6">
      <c r="A26" s="2"/>
      <c r="B26" s="1" t="s">
        <v>29</v>
      </c>
      <c r="C26" s="2"/>
      <c r="D26" s="14">
        <f>SUM(D5:D19)</f>
        <v>12869.22</v>
      </c>
      <c r="E26" s="2"/>
    </row>
    <row r="27" spans="1:5" ht="15.6" x14ac:dyDescent="0.6">
      <c r="A27" s="2"/>
      <c r="B27" s="1" t="s">
        <v>30</v>
      </c>
      <c r="C27" s="7"/>
      <c r="D27" s="14">
        <v>16272</v>
      </c>
      <c r="E27" s="7"/>
    </row>
    <row r="28" spans="1:5" ht="15.6" x14ac:dyDescent="0.6">
      <c r="A28" s="2"/>
      <c r="B28" s="1" t="s">
        <v>25</v>
      </c>
      <c r="C28" s="2"/>
      <c r="D28" s="14">
        <f>D27-D26</f>
        <v>3402.7800000000007</v>
      </c>
      <c r="E28" s="2"/>
    </row>
    <row r="29" spans="1:5" x14ac:dyDescent="0.55000000000000004">
      <c r="A29" s="21"/>
      <c r="C29" s="16"/>
      <c r="E29" s="16"/>
    </row>
    <row r="30" spans="1:5" ht="15.6" x14ac:dyDescent="0.6">
      <c r="B30" s="13"/>
      <c r="C30" s="15"/>
      <c r="D30" s="11"/>
      <c r="E30" s="15"/>
    </row>
    <row r="31" spans="1:5" ht="15.6" x14ac:dyDescent="0.6">
      <c r="B31" s="13"/>
      <c r="C31" s="15"/>
      <c r="D31" s="11"/>
      <c r="E31" s="15"/>
    </row>
    <row r="32" spans="1:5" ht="15.6" x14ac:dyDescent="0.6">
      <c r="B32" s="13"/>
      <c r="C32" s="11"/>
      <c r="D32" s="11"/>
      <c r="E32" s="11"/>
    </row>
  </sheetData>
  <mergeCells count="1">
    <mergeCell ref="C2:D2"/>
  </mergeCells>
  <pageMargins left="0.7" right="0.7" top="0.75" bottom="0.75" header="0.3" footer="0.3"/>
  <ignoredErrors>
    <ignoredError sqref="C23:E23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F30" sqref="F30"/>
    </sheetView>
  </sheetViews>
  <sheetFormatPr defaultRowHeight="14.4" x14ac:dyDescent="0.55000000000000004"/>
  <cols>
    <col min="1" max="3" width="14.62890625" style="22" customWidth="1"/>
    <col min="5" max="5" width="8.62890625" customWidth="1"/>
    <col min="6" max="6" width="28.62890625" customWidth="1"/>
    <col min="7" max="12" width="14.62890625" customWidth="1"/>
  </cols>
  <sheetData>
    <row r="1" spans="1:8" ht="15.6" x14ac:dyDescent="0.6">
      <c r="A1" s="28" t="s">
        <v>43</v>
      </c>
      <c r="B1" s="28" t="s">
        <v>44</v>
      </c>
      <c r="C1" s="28" t="s">
        <v>45</v>
      </c>
      <c r="E1" s="2"/>
      <c r="F1" s="2"/>
      <c r="G1" s="23">
        <v>2021</v>
      </c>
      <c r="H1" s="23">
        <v>2022</v>
      </c>
    </row>
    <row r="2" spans="1:8" ht="15.6" x14ac:dyDescent="0.6">
      <c r="A2" s="29">
        <v>1</v>
      </c>
      <c r="B2" s="24">
        <v>675</v>
      </c>
      <c r="C2" s="24">
        <f>3.5893*2</f>
        <v>7.1786000000000003</v>
      </c>
      <c r="E2" s="90" t="s">
        <v>46</v>
      </c>
      <c r="F2" s="90"/>
      <c r="G2" s="27">
        <v>16272</v>
      </c>
      <c r="H2" s="27">
        <f>Sheet1!F48</f>
        <v>0</v>
      </c>
    </row>
    <row r="3" spans="1:8" x14ac:dyDescent="0.55000000000000004">
      <c r="A3" s="24">
        <v>2</v>
      </c>
      <c r="B3" s="24">
        <v>675</v>
      </c>
      <c r="C3" s="24">
        <f t="shared" ref="C3:C9" si="0">3.5893*2</f>
        <v>7.1786000000000003</v>
      </c>
      <c r="E3" s="2"/>
      <c r="F3" s="2"/>
      <c r="G3" s="2"/>
      <c r="H3" s="2"/>
    </row>
    <row r="4" spans="1:8" x14ac:dyDescent="0.55000000000000004">
      <c r="A4" s="24">
        <v>3</v>
      </c>
      <c r="B4" s="24">
        <v>675</v>
      </c>
      <c r="C4" s="24">
        <f t="shared" si="0"/>
        <v>7.1786000000000003</v>
      </c>
      <c r="E4" s="23" t="s">
        <v>47</v>
      </c>
      <c r="F4" s="23"/>
      <c r="G4" s="2"/>
      <c r="H4" s="2"/>
    </row>
    <row r="5" spans="1:8" x14ac:dyDescent="0.55000000000000004">
      <c r="A5" s="24">
        <v>4</v>
      </c>
      <c r="B5" s="24">
        <v>675</v>
      </c>
      <c r="C5" s="24">
        <f t="shared" si="0"/>
        <v>7.1786000000000003</v>
      </c>
      <c r="E5" s="24">
        <v>1240</v>
      </c>
      <c r="F5" s="2" t="s">
        <v>1</v>
      </c>
      <c r="G5" s="3" t="s">
        <v>2</v>
      </c>
      <c r="H5" s="7">
        <v>29</v>
      </c>
    </row>
    <row r="6" spans="1:8" x14ac:dyDescent="0.55000000000000004">
      <c r="A6" s="24">
        <v>5</v>
      </c>
      <c r="B6" s="24">
        <v>710</v>
      </c>
      <c r="C6" s="24">
        <f>3.7754*2</f>
        <v>7.5507999999999997</v>
      </c>
      <c r="E6" s="24">
        <v>1302</v>
      </c>
      <c r="F6" s="2" t="s">
        <v>3</v>
      </c>
      <c r="G6" s="3" t="s">
        <v>2</v>
      </c>
      <c r="H6" s="7">
        <v>800</v>
      </c>
    </row>
    <row r="7" spans="1:8" x14ac:dyDescent="0.55000000000000004">
      <c r="A7" s="24">
        <v>6</v>
      </c>
      <c r="B7" s="24">
        <v>710</v>
      </c>
      <c r="C7" s="24">
        <f>3.7754*2</f>
        <v>7.5507999999999997</v>
      </c>
      <c r="E7" s="24">
        <v>1320</v>
      </c>
      <c r="F7" s="2" t="s">
        <v>4</v>
      </c>
      <c r="G7" s="3">
        <v>93.89</v>
      </c>
      <c r="H7" s="9">
        <v>1500</v>
      </c>
    </row>
    <row r="8" spans="1:8" x14ac:dyDescent="0.55000000000000004">
      <c r="A8" s="24">
        <v>7</v>
      </c>
      <c r="B8" s="24">
        <v>675</v>
      </c>
      <c r="C8" s="24">
        <f t="shared" si="0"/>
        <v>7.1786000000000003</v>
      </c>
      <c r="E8" s="24">
        <v>1340</v>
      </c>
      <c r="F8" s="2" t="s">
        <v>5</v>
      </c>
      <c r="G8" s="3" t="s">
        <v>2</v>
      </c>
      <c r="H8" s="7">
        <v>150</v>
      </c>
    </row>
    <row r="9" spans="1:8" x14ac:dyDescent="0.55000000000000004">
      <c r="A9" s="24">
        <v>8</v>
      </c>
      <c r="B9" s="24">
        <v>675</v>
      </c>
      <c r="C9" s="24">
        <f t="shared" si="0"/>
        <v>7.1786000000000003</v>
      </c>
      <c r="E9" s="24">
        <v>1350</v>
      </c>
      <c r="F9" s="2" t="s">
        <v>6</v>
      </c>
      <c r="G9" s="3">
        <v>324</v>
      </c>
      <c r="H9" s="7">
        <v>800</v>
      </c>
    </row>
    <row r="10" spans="1:8" x14ac:dyDescent="0.55000000000000004">
      <c r="A10" s="24">
        <v>9</v>
      </c>
      <c r="B10" s="24">
        <v>710</v>
      </c>
      <c r="C10" s="24">
        <f>3.7754*2</f>
        <v>7.5507999999999997</v>
      </c>
      <c r="E10" s="24">
        <v>1436</v>
      </c>
      <c r="F10" s="2" t="s">
        <v>7</v>
      </c>
      <c r="G10" s="3">
        <v>1368</v>
      </c>
      <c r="H10" s="7">
        <v>1448</v>
      </c>
    </row>
    <row r="11" spans="1:8" x14ac:dyDescent="0.55000000000000004">
      <c r="A11" s="24">
        <v>10</v>
      </c>
      <c r="B11" s="24">
        <v>710</v>
      </c>
      <c r="C11" s="24">
        <f>3.7754*2</f>
        <v>7.5507999999999997</v>
      </c>
      <c r="E11" s="24">
        <v>1400</v>
      </c>
      <c r="F11" s="2" t="s">
        <v>8</v>
      </c>
      <c r="G11" s="3">
        <v>1971</v>
      </c>
      <c r="H11" s="7">
        <v>1860</v>
      </c>
    </row>
    <row r="12" spans="1:8" x14ac:dyDescent="0.55000000000000004">
      <c r="A12" s="24">
        <v>11</v>
      </c>
      <c r="B12" s="24">
        <v>1237</v>
      </c>
      <c r="C12" s="24">
        <f>6.5777*2</f>
        <v>13.1554</v>
      </c>
      <c r="E12" s="24">
        <v>1420</v>
      </c>
      <c r="F12" s="2" t="s">
        <v>9</v>
      </c>
      <c r="G12" s="3">
        <v>1836.14</v>
      </c>
      <c r="H12" s="7">
        <v>725</v>
      </c>
    </row>
    <row r="13" spans="1:8" x14ac:dyDescent="0.55000000000000004">
      <c r="A13" s="24">
        <v>12</v>
      </c>
      <c r="B13" s="24">
        <v>1276</v>
      </c>
      <c r="C13" s="24">
        <f>6.7851*2</f>
        <v>13.5702</v>
      </c>
      <c r="E13" s="24">
        <v>1470</v>
      </c>
      <c r="F13" s="2" t="s">
        <v>10</v>
      </c>
      <c r="G13" s="3">
        <v>2584.39</v>
      </c>
      <c r="H13" s="7">
        <v>1500</v>
      </c>
    </row>
    <row r="14" spans="1:8" x14ac:dyDescent="0.55000000000000004">
      <c r="E14" s="24">
        <v>1800</v>
      </c>
      <c r="F14" s="2" t="s">
        <v>11</v>
      </c>
      <c r="G14" s="3">
        <v>2997</v>
      </c>
      <c r="H14" s="7">
        <v>2246</v>
      </c>
    </row>
    <row r="15" spans="1:8" x14ac:dyDescent="0.55000000000000004">
      <c r="E15" s="24">
        <v>1808</v>
      </c>
      <c r="F15" s="2" t="s">
        <v>12</v>
      </c>
      <c r="G15" s="3">
        <v>450</v>
      </c>
      <c r="H15" s="7">
        <v>624</v>
      </c>
    </row>
    <row r="16" spans="1:8" x14ac:dyDescent="0.55000000000000004">
      <c r="E16" s="24">
        <v>1812</v>
      </c>
      <c r="F16" s="2" t="s">
        <v>13</v>
      </c>
      <c r="G16" s="3" t="s">
        <v>2</v>
      </c>
      <c r="H16" s="7">
        <v>990</v>
      </c>
    </row>
    <row r="17" spans="5:8" x14ac:dyDescent="0.55000000000000004">
      <c r="E17" s="24">
        <v>1835</v>
      </c>
      <c r="F17" s="2" t="s">
        <v>14</v>
      </c>
      <c r="G17" s="3" t="s">
        <v>2</v>
      </c>
      <c r="H17" s="7">
        <v>187</v>
      </c>
    </row>
    <row r="18" spans="5:8" x14ac:dyDescent="0.55000000000000004">
      <c r="E18" s="24">
        <v>1840</v>
      </c>
      <c r="F18" s="2" t="s">
        <v>15</v>
      </c>
      <c r="G18" s="3">
        <v>244.8</v>
      </c>
      <c r="H18" s="7" t="s">
        <v>2</v>
      </c>
    </row>
    <row r="19" spans="5:8" x14ac:dyDescent="0.55000000000000004">
      <c r="E19" s="24">
        <v>1634</v>
      </c>
      <c r="F19" s="2" t="s">
        <v>16</v>
      </c>
      <c r="G19" s="3">
        <v>1000</v>
      </c>
      <c r="H19" s="7">
        <v>4000</v>
      </c>
    </row>
    <row r="20" spans="5:8" x14ac:dyDescent="0.55000000000000004">
      <c r="E20" s="24">
        <v>1300</v>
      </c>
      <c r="F20" s="2" t="s">
        <v>24</v>
      </c>
      <c r="G20" s="3" t="s">
        <v>2</v>
      </c>
      <c r="H20" s="7">
        <v>2670</v>
      </c>
    </row>
    <row r="21" spans="5:8" x14ac:dyDescent="0.55000000000000004">
      <c r="E21" s="2"/>
      <c r="F21" s="25" t="s">
        <v>48</v>
      </c>
      <c r="G21" s="26">
        <f>SUM(G5:G20)</f>
        <v>12869.22</v>
      </c>
      <c r="H21" s="26">
        <f>SUM(H5:H20)</f>
        <v>19529</v>
      </c>
    </row>
    <row r="22" spans="5:8" x14ac:dyDescent="0.55000000000000004">
      <c r="E22" s="2"/>
      <c r="F22" s="2"/>
      <c r="G22" s="2"/>
      <c r="H22" s="2"/>
    </row>
    <row r="23" spans="5:8" x14ac:dyDescent="0.55000000000000004">
      <c r="E23" s="23" t="s">
        <v>49</v>
      </c>
      <c r="F23" s="2"/>
      <c r="G23" s="27">
        <f>G2-G21</f>
        <v>3402.7800000000007</v>
      </c>
      <c r="H23" s="27">
        <f>H2-H21</f>
        <v>-19529</v>
      </c>
    </row>
    <row r="24" spans="5:8" x14ac:dyDescent="0.55000000000000004">
      <c r="E24" s="2"/>
      <c r="F24" s="2"/>
      <c r="G24" s="2"/>
      <c r="H24" s="2"/>
    </row>
    <row r="25" spans="5:8" x14ac:dyDescent="0.55000000000000004">
      <c r="E25" s="23" t="s">
        <v>50</v>
      </c>
      <c r="F25" s="2"/>
      <c r="G25" s="2"/>
      <c r="H25" s="27">
        <f>H23+G23</f>
        <v>-16126.22</v>
      </c>
    </row>
  </sheetData>
  <mergeCells count="1">
    <mergeCell ref="E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XPS 17</dc:creator>
  <cp:lastModifiedBy>Dave Anderson</cp:lastModifiedBy>
  <cp:lastPrinted>2022-10-18T14:43:29Z</cp:lastPrinted>
  <dcterms:created xsi:type="dcterms:W3CDTF">2022-10-11T15:03:33Z</dcterms:created>
  <dcterms:modified xsi:type="dcterms:W3CDTF">2025-12-10T12:29:27Z</dcterms:modified>
</cp:coreProperties>
</file>